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2170" windowHeight="13710" activeTab="0"/>
  </bookViews>
  <sheets>
    <sheet name="Official" sheetId="1" r:id="rId1"/>
    <sheet name="Tinkering" sheetId="2" r:id="rId2"/>
  </sheets>
  <definedNames>
    <definedName name="Circum1" localSheetId="1">'Tinkering'!$N$9</definedName>
    <definedName name="Circum1">'Official'!#REF!</definedName>
    <definedName name="Circum2" localSheetId="1">'Tinkering'!$O$9</definedName>
    <definedName name="Circum2">'Official'!#REF!</definedName>
    <definedName name="DuctDiameter" localSheetId="1">'Tinkering'!$F$3</definedName>
    <definedName name="DuctDiameter">'Official'!$C$3</definedName>
    <definedName name="Folds" localSheetId="1">'Tinkering'!$J$3</definedName>
    <definedName name="Folds">'Official'!$G$3</definedName>
    <definedName name="LongABSide" localSheetId="1">'Tinkering'!$G$3</definedName>
    <definedName name="LongABSide">'Official'!$D$3</definedName>
    <definedName name="LongAngle" localSheetId="1">'Tinkering'!$N$16</definedName>
    <definedName name="LongAngle">'Official'!#REF!</definedName>
    <definedName name="LongSquareSide">'Official'!$D$3</definedName>
    <definedName name="pi" localSheetId="1">'Tinkering'!$K$3</definedName>
    <definedName name="pi">'Official'!$I$6</definedName>
    <definedName name="Radius2" localSheetId="1">'Tinkering'!$O$6</definedName>
    <definedName name="Radius2">'Official'!#REF!</definedName>
    <definedName name="ShortABSide" localSheetId="1">'Tinkering'!$H$3</definedName>
    <definedName name="ShortABSide">'Official'!$E$3</definedName>
    <definedName name="ShortAngle" localSheetId="1">'Tinkering'!$O$16</definedName>
    <definedName name="ShortAngle">'Official'!#REF!</definedName>
    <definedName name="Side1" localSheetId="1">'Tinkering'!$N$13</definedName>
    <definedName name="Side1">'Official'!#REF!</definedName>
    <definedName name="Side2" localSheetId="1">'Tinkering'!$O$13</definedName>
    <definedName name="Side2">'Official'!#REF!</definedName>
    <definedName name="TransitionLength" localSheetId="1">'Tinkering'!$I$3</definedName>
    <definedName name="TransitionLength">'Official'!$F$3</definedName>
  </definedNames>
  <calcPr fullCalcOnLoad="1"/>
</workbook>
</file>

<file path=xl/sharedStrings.xml><?xml version="1.0" encoding="utf-8"?>
<sst xmlns="http://schemas.openxmlformats.org/spreadsheetml/2006/main" count="65" uniqueCount="55">
  <si>
    <t>"height" of
A-B-1 triangle</t>
  </si>
  <si>
    <t>Length</t>
  </si>
  <si>
    <t>A-1 and B-1
Distance</t>
  </si>
  <si>
    <t>Distance
between folds</t>
  </si>
  <si>
    <t>Shortest
corner/duct
length (2-D)</t>
  </si>
  <si>
    <t>Shortest
corner/duct
length (3-D)</t>
  </si>
  <si>
    <t>2-D radius
to corner</t>
  </si>
  <si>
    <t>Cone vertex
to corner</t>
  </si>
  <si>
    <t>Cone vertex
to duct</t>
  </si>
  <si>
    <t>Fold #</t>
  </si>
  <si>
    <t>Flat A-B-A
angle</t>
  </si>
  <si>
    <t>Short-side
x</t>
  </si>
  <si>
    <t>Short-side
y</t>
  </si>
  <si>
    <t>Cone
Height</t>
  </si>
  <si>
    <t>r1</t>
  </si>
  <si>
    <t>r2</t>
  </si>
  <si>
    <t>Straight1</t>
  </si>
  <si>
    <t>Straight2</t>
  </si>
  <si>
    <t>Circum1</t>
  </si>
  <si>
    <t>Circum2</t>
  </si>
  <si>
    <t>pi</t>
  </si>
  <si>
    <t>Side1</t>
  </si>
  <si>
    <t>Side2</t>
  </si>
  <si>
    <t>ShortAngle</t>
  </si>
  <si>
    <t>LongAngle</t>
  </si>
  <si>
    <t>TotalAngle</t>
  </si>
  <si>
    <t>AnglePerFold</t>
  </si>
  <si>
    <t>SideLen</t>
  </si>
  <si>
    <t>TickDistance</t>
  </si>
  <si>
    <t>r2=(A+B)/pi method</t>
  </si>
  <si>
    <t>ThetaL</t>
  </si>
  <si>
    <t>ThetaS</t>
  </si>
  <si>
    <t>S2</t>
  </si>
  <si>
    <t>Theta</t>
  </si>
  <si>
    <t>S1</t>
  </si>
  <si>
    <t>h1</t>
  </si>
  <si>
    <t>h2</t>
  </si>
  <si>
    <t>Height</t>
  </si>
  <si>
    <t>HeightDiff</t>
  </si>
  <si>
    <t>Hyperbolic Method</t>
  </si>
  <si>
    <t>Step size</t>
  </si>
  <si>
    <t>Folds per
corner</t>
  </si>
  <si>
    <t>Length of
Transition</t>
  </si>
  <si>
    <t>Duct
Diameter</t>
  </si>
  <si>
    <t>Length of
Short Side
of Square</t>
  </si>
  <si>
    <t>Length of
Long End
of Square</t>
  </si>
  <si>
    <t>Long Side
Angle</t>
  </si>
  <si>
    <t>Short Side
Angle</t>
  </si>
  <si>
    <t>Total
Angle</t>
  </si>
  <si>
    <t>Inner
Raidus</t>
  </si>
  <si>
    <t>Outer
Radius</t>
  </si>
  <si>
    <t>Short Tick
Distance</t>
  </si>
  <si>
    <t>Long Tick
Distance</t>
  </si>
  <si>
    <t>Angle per
Fold</t>
  </si>
  <si>
    <t>&lt;-- Only make this number larger if you get "#DIV/0"
errors or obviously wrong values in the table to the left!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</si>
</sst>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7">
    <font>
      <sz val="10"/>
      <name val="Arial"/>
      <family val="0"/>
    </font>
    <font>
      <sz val="8"/>
      <name val="Arial"/>
      <family val="0"/>
    </font>
    <font>
      <b/>
      <sz val="10"/>
      <name val="Arial"/>
      <family val="2"/>
    </font>
    <font>
      <b/>
      <sz val="10"/>
      <color indexed="10"/>
      <name val="Arial"/>
      <family val="2"/>
    </font>
    <font>
      <i/>
      <sz val="10"/>
      <name val="Arial"/>
      <family val="2"/>
    </font>
    <font>
      <sz val="10"/>
      <color indexed="23"/>
      <name val="Arial"/>
      <family val="0"/>
    </font>
    <font>
      <i/>
      <sz val="10"/>
      <color indexed="23"/>
      <name val="Arial"/>
      <family val="2"/>
    </font>
  </fonts>
  <fills count="8">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1"/>
        <bgColor indexed="64"/>
      </patternFill>
    </fill>
    <fill>
      <patternFill patternType="solid">
        <fgColor indexed="40"/>
        <bgColor indexed="64"/>
      </patternFill>
    </fill>
    <fill>
      <patternFill patternType="solid">
        <fgColor indexed="14"/>
        <bgColor indexed="64"/>
      </patternFill>
    </fill>
    <fill>
      <patternFill patternType="solid">
        <fgColor indexed="52"/>
        <bgColor indexed="64"/>
      </patternFill>
    </fill>
  </fills>
  <borders count="14">
    <border>
      <left/>
      <right/>
      <top/>
      <bottom/>
      <diagonal/>
    </border>
    <border>
      <left style="medium"/>
      <right style="medium"/>
      <top style="medium"/>
      <bottom style="thin"/>
    </border>
    <border>
      <left style="medium"/>
      <right style="medium"/>
      <top style="thin"/>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style="medium"/>
      <bottom style="medium"/>
    </border>
    <border>
      <left style="medium">
        <color indexed="23"/>
      </left>
      <right style="thin">
        <color indexed="23"/>
      </right>
      <top style="medium">
        <color indexed="23"/>
      </top>
      <bottom style="thin">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thin">
        <color indexed="23"/>
      </left>
      <right style="medium">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medium">
        <color indexed="23"/>
      </left>
      <right style="medium">
        <color indexed="23"/>
      </right>
      <top style="medium">
        <color indexed="23"/>
      </top>
      <bottom style="thin">
        <color indexed="23"/>
      </bottom>
    </border>
    <border>
      <left style="medium">
        <color indexed="23"/>
      </left>
      <right style="medium">
        <color indexed="23"/>
      </right>
      <top style="thin">
        <color indexed="23"/>
      </top>
      <bottom style="medium">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Alignment="1">
      <alignment wrapText="1"/>
    </xf>
    <xf numFmtId="0" fontId="2" fillId="0" borderId="1" xfId="0" applyFont="1" applyBorder="1" applyAlignment="1">
      <alignment horizontal="center" wrapText="1"/>
    </xf>
    <xf numFmtId="0" fontId="0" fillId="0" borderId="2" xfId="0" applyBorder="1" applyAlignment="1">
      <alignment horizontal="center"/>
    </xf>
    <xf numFmtId="2" fontId="0" fillId="0" borderId="2" xfId="0" applyNumberForma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 fillId="0" borderId="0" xfId="0" applyFont="1" applyAlignment="1">
      <alignment horizontal="center"/>
    </xf>
    <xf numFmtId="0" fontId="3" fillId="0" borderId="0" xfId="0" applyFont="1" applyAlignment="1">
      <alignment horizontal="left"/>
    </xf>
    <xf numFmtId="0" fontId="2" fillId="0" borderId="3" xfId="0" applyFont="1" applyFill="1" applyBorder="1" applyAlignment="1">
      <alignment horizontal="center"/>
    </xf>
    <xf numFmtId="0" fontId="0" fillId="0" borderId="3" xfId="0" applyFill="1" applyBorder="1" applyAlignment="1">
      <alignment horizontal="center"/>
    </xf>
    <xf numFmtId="0" fontId="2" fillId="0" borderId="0" xfId="0" applyFont="1" applyAlignment="1">
      <alignment/>
    </xf>
    <xf numFmtId="164" fontId="2" fillId="0" borderId="0" xfId="0" applyNumberFormat="1" applyFont="1" applyAlignment="1">
      <alignment/>
    </xf>
    <xf numFmtId="0" fontId="4" fillId="0" borderId="0" xfId="0" applyFont="1" applyAlignment="1">
      <alignment/>
    </xf>
    <xf numFmtId="0" fontId="2" fillId="2" borderId="1" xfId="0" applyFont="1" applyFill="1" applyBorder="1" applyAlignment="1">
      <alignment horizontal="center" wrapText="1"/>
    </xf>
    <xf numFmtId="0" fontId="0" fillId="2" borderId="1" xfId="0" applyFont="1" applyFill="1" applyBorder="1" applyAlignment="1">
      <alignment horizontal="center" wrapText="1"/>
    </xf>
    <xf numFmtId="0" fontId="0" fillId="0" borderId="2" xfId="0" applyBorder="1" applyAlignment="1" applyProtection="1">
      <alignment horizontal="center"/>
      <protection locked="0"/>
    </xf>
    <xf numFmtId="2" fontId="5" fillId="2" borderId="2" xfId="0" applyNumberFormat="1" applyFont="1" applyFill="1" applyBorder="1" applyAlignment="1">
      <alignment horizontal="center"/>
    </xf>
    <xf numFmtId="0" fontId="2" fillId="3" borderId="4" xfId="0" applyFont="1" applyFill="1" applyBorder="1" applyAlignment="1">
      <alignment horizontal="center" wrapText="1"/>
    </xf>
    <xf numFmtId="2" fontId="2" fillId="4" borderId="5" xfId="0" applyNumberFormat="1" applyFont="1" applyFill="1" applyBorder="1" applyAlignment="1">
      <alignment horizontal="center"/>
    </xf>
    <xf numFmtId="2" fontId="2" fillId="5" borderId="5" xfId="0" applyNumberFormat="1" applyFont="1" applyFill="1" applyBorder="1" applyAlignment="1">
      <alignment horizontal="center"/>
    </xf>
    <xf numFmtId="2" fontId="2" fillId="6" borderId="5" xfId="0" applyNumberFormat="1" applyFont="1" applyFill="1" applyBorder="1" applyAlignment="1">
      <alignment horizontal="center"/>
    </xf>
    <xf numFmtId="2" fontId="2" fillId="7" borderId="5" xfId="0" applyNumberFormat="1" applyFont="1" applyFill="1" applyBorder="1" applyAlignment="1">
      <alignment horizontal="center"/>
    </xf>
    <xf numFmtId="0" fontId="5" fillId="0" borderId="0" xfId="0" applyFont="1" applyAlignment="1">
      <alignment/>
    </xf>
    <xf numFmtId="165" fontId="5" fillId="0" borderId="6" xfId="0" applyNumberFormat="1" applyFont="1" applyBorder="1" applyAlignment="1">
      <alignment/>
    </xf>
    <xf numFmtId="165" fontId="5" fillId="0" borderId="7" xfId="0" applyNumberFormat="1" applyFont="1" applyBorder="1" applyAlignment="1">
      <alignment/>
    </xf>
    <xf numFmtId="165" fontId="5" fillId="0" borderId="8" xfId="0" applyNumberFormat="1" applyFont="1" applyBorder="1" applyAlignment="1">
      <alignment/>
    </xf>
    <xf numFmtId="165" fontId="5" fillId="0" borderId="9" xfId="0" applyNumberFormat="1" applyFont="1" applyBorder="1" applyAlignment="1">
      <alignment/>
    </xf>
    <xf numFmtId="165" fontId="6" fillId="0" borderId="9" xfId="0" applyNumberFormat="1" applyFont="1" applyBorder="1" applyAlignment="1">
      <alignment/>
    </xf>
    <xf numFmtId="165" fontId="5" fillId="0" borderId="10" xfId="0" applyNumberFormat="1" applyFont="1" applyBorder="1" applyAlignment="1">
      <alignment/>
    </xf>
    <xf numFmtId="165" fontId="5" fillId="0" borderId="11" xfId="0" applyNumberFormat="1" applyFont="1" applyBorder="1" applyAlignment="1">
      <alignment/>
    </xf>
    <xf numFmtId="165" fontId="5" fillId="0" borderId="12" xfId="0" applyNumberFormat="1" applyFont="1" applyBorder="1" applyAlignment="1">
      <alignment horizontal="center"/>
    </xf>
    <xf numFmtId="165" fontId="5" fillId="0" borderId="13" xfId="0" applyNumberFormat="1" applyFont="1" applyBorder="1" applyAlignment="1">
      <alignment/>
    </xf>
    <xf numFmtId="0" fontId="5" fillId="0" borderId="0" xfId="0" applyFont="1" applyAlignment="1">
      <alignment wrapText="1"/>
    </xf>
    <xf numFmtId="0" fontId="0" fillId="0" borderId="0" xfId="0" applyFont="1" applyAlignment="1">
      <alignment wrapText="1"/>
    </xf>
    <xf numFmtId="165" fontId="0" fillId="0" borderId="0" xfId="0" applyNumberFormat="1" applyFont="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26</xdr:row>
      <xdr:rowOff>85725</xdr:rowOff>
    </xdr:from>
    <xdr:to>
      <xdr:col>6</xdr:col>
      <xdr:colOff>295275</xdr:colOff>
      <xdr:row>38</xdr:row>
      <xdr:rowOff>57150</xdr:rowOff>
    </xdr:to>
    <xdr:pic>
      <xdr:nvPicPr>
        <xdr:cNvPr id="1" name="Picture 1"/>
        <xdr:cNvPicPr preferRelativeResize="1">
          <a:picLocks noChangeAspect="1"/>
        </xdr:cNvPicPr>
      </xdr:nvPicPr>
      <xdr:blipFill>
        <a:blip r:embed="rId1"/>
        <a:stretch>
          <a:fillRect/>
        </a:stretch>
      </xdr:blipFill>
      <xdr:spPr>
        <a:xfrm>
          <a:off x="704850" y="5219700"/>
          <a:ext cx="4010025" cy="1914525"/>
        </a:xfrm>
        <a:prstGeom prst="rect">
          <a:avLst/>
        </a:prstGeom>
        <a:noFill/>
        <a:ln w="9525" cmpd="sng">
          <a:noFill/>
        </a:ln>
      </xdr:spPr>
    </xdr:pic>
    <xdr:clientData/>
  </xdr:twoCellAnchor>
  <xdr:twoCellAnchor>
    <xdr:from>
      <xdr:col>1</xdr:col>
      <xdr:colOff>161925</xdr:colOff>
      <xdr:row>10</xdr:row>
      <xdr:rowOff>57150</xdr:rowOff>
    </xdr:from>
    <xdr:to>
      <xdr:col>3</xdr:col>
      <xdr:colOff>628650</xdr:colOff>
      <xdr:row>34</xdr:row>
      <xdr:rowOff>142875</xdr:rowOff>
    </xdr:to>
    <xdr:sp>
      <xdr:nvSpPr>
        <xdr:cNvPr id="2" name="Line 5"/>
        <xdr:cNvSpPr>
          <a:spLocks/>
        </xdr:cNvSpPr>
      </xdr:nvSpPr>
      <xdr:spPr>
        <a:xfrm flipV="1">
          <a:off x="771525" y="2600325"/>
          <a:ext cx="1876425" cy="397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10</xdr:row>
      <xdr:rowOff>57150</xdr:rowOff>
    </xdr:from>
    <xdr:to>
      <xdr:col>6</xdr:col>
      <xdr:colOff>85725</xdr:colOff>
      <xdr:row>34</xdr:row>
      <xdr:rowOff>133350</xdr:rowOff>
    </xdr:to>
    <xdr:sp>
      <xdr:nvSpPr>
        <xdr:cNvPr id="3" name="Line 6"/>
        <xdr:cNvSpPr>
          <a:spLocks/>
        </xdr:cNvSpPr>
      </xdr:nvSpPr>
      <xdr:spPr>
        <a:xfrm flipH="1" flipV="1">
          <a:off x="2647950" y="2600325"/>
          <a:ext cx="1857375" cy="396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10</xdr:row>
      <xdr:rowOff>66675</xdr:rowOff>
    </xdr:from>
    <xdr:to>
      <xdr:col>3</xdr:col>
      <xdr:colOff>628650</xdr:colOff>
      <xdr:row>28</xdr:row>
      <xdr:rowOff>85725</xdr:rowOff>
    </xdr:to>
    <xdr:sp>
      <xdr:nvSpPr>
        <xdr:cNvPr id="4" name="Line 7"/>
        <xdr:cNvSpPr>
          <a:spLocks/>
        </xdr:cNvSpPr>
      </xdr:nvSpPr>
      <xdr:spPr>
        <a:xfrm flipH="1">
          <a:off x="1714500" y="2609850"/>
          <a:ext cx="933450" cy="29337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10</xdr:row>
      <xdr:rowOff>66675</xdr:rowOff>
    </xdr:from>
    <xdr:to>
      <xdr:col>3</xdr:col>
      <xdr:colOff>628650</xdr:colOff>
      <xdr:row>37</xdr:row>
      <xdr:rowOff>133350</xdr:rowOff>
    </xdr:to>
    <xdr:sp>
      <xdr:nvSpPr>
        <xdr:cNvPr id="5" name="Line 8"/>
        <xdr:cNvSpPr>
          <a:spLocks/>
        </xdr:cNvSpPr>
      </xdr:nvSpPr>
      <xdr:spPr>
        <a:xfrm flipH="1">
          <a:off x="2428875" y="2609850"/>
          <a:ext cx="219075" cy="4438650"/>
        </a:xfrm>
        <a:prstGeom prst="line">
          <a:avLst/>
        </a:prstGeom>
        <a:noFill/>
        <a:ln w="9525"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18</xdr:row>
      <xdr:rowOff>95250</xdr:rowOff>
    </xdr:from>
    <xdr:to>
      <xdr:col>6</xdr:col>
      <xdr:colOff>504825</xdr:colOff>
      <xdr:row>41</xdr:row>
      <xdr:rowOff>66675</xdr:rowOff>
    </xdr:to>
    <xdr:sp>
      <xdr:nvSpPr>
        <xdr:cNvPr id="6" name="Arc 9"/>
        <xdr:cNvSpPr>
          <a:spLocks/>
        </xdr:cNvSpPr>
      </xdr:nvSpPr>
      <xdr:spPr>
        <a:xfrm rot="19249266" flipH="1" flipV="1">
          <a:off x="600075" y="3933825"/>
          <a:ext cx="4324350" cy="3705225"/>
        </a:xfrm>
        <a:prstGeom prst="arc">
          <a:avLst>
            <a:gd name="adj1" fmla="val -23737620"/>
            <a:gd name="adj2" fmla="val -4207462"/>
            <a:gd name="adj3" fmla="val 47842"/>
          </a:avLst>
        </a:prstGeom>
        <a:noFill/>
        <a:ln w="1587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28</xdr:row>
      <xdr:rowOff>66675</xdr:rowOff>
    </xdr:from>
    <xdr:to>
      <xdr:col>5</xdr:col>
      <xdr:colOff>28575</xdr:colOff>
      <xdr:row>28</xdr:row>
      <xdr:rowOff>114300</xdr:rowOff>
    </xdr:to>
    <xdr:sp>
      <xdr:nvSpPr>
        <xdr:cNvPr id="7" name="Line 11"/>
        <xdr:cNvSpPr>
          <a:spLocks/>
        </xdr:cNvSpPr>
      </xdr:nvSpPr>
      <xdr:spPr>
        <a:xfrm flipV="1">
          <a:off x="3533775" y="5524500"/>
          <a:ext cx="114300" cy="47625"/>
        </a:xfrm>
        <a:prstGeom prst="line">
          <a:avLst/>
        </a:prstGeom>
        <a:noFill/>
        <a:ln w="25400" cmpd="sng">
          <a:solidFill>
            <a:srgbClr val="00CCFF"/>
          </a:solidFill>
          <a:headEnd type="oval"/>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29</xdr:row>
      <xdr:rowOff>0</xdr:rowOff>
    </xdr:from>
    <xdr:to>
      <xdr:col>4</xdr:col>
      <xdr:colOff>504825</xdr:colOff>
      <xdr:row>29</xdr:row>
      <xdr:rowOff>66675</xdr:rowOff>
    </xdr:to>
    <xdr:sp>
      <xdr:nvSpPr>
        <xdr:cNvPr id="8" name="Line 12"/>
        <xdr:cNvSpPr>
          <a:spLocks/>
        </xdr:cNvSpPr>
      </xdr:nvSpPr>
      <xdr:spPr>
        <a:xfrm flipV="1">
          <a:off x="2647950" y="5619750"/>
          <a:ext cx="676275" cy="66675"/>
        </a:xfrm>
        <a:prstGeom prst="line">
          <a:avLst/>
        </a:prstGeom>
        <a:noFill/>
        <a:ln w="25400" cmpd="sng">
          <a:solidFill>
            <a:srgbClr val="FF00FF"/>
          </a:solidFill>
          <a:headEnd type="oval"/>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342900</xdr:colOff>
      <xdr:row>11</xdr:row>
      <xdr:rowOff>104775</xdr:rowOff>
    </xdr:from>
    <xdr:to>
      <xdr:col>13</xdr:col>
      <xdr:colOff>476250</xdr:colOff>
      <xdr:row>38</xdr:row>
      <xdr:rowOff>66675</xdr:rowOff>
    </xdr:to>
    <xdr:sp>
      <xdr:nvSpPr>
        <xdr:cNvPr id="9" name="TextBox 13"/>
        <xdr:cNvSpPr txBox="1">
          <a:spLocks noChangeArrowheads="1"/>
        </xdr:cNvSpPr>
      </xdr:nvSpPr>
      <xdr:spPr>
        <a:xfrm>
          <a:off x="7505700" y="2809875"/>
          <a:ext cx="5019675" cy="433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1 - Specify the diameter of the round duct, the length of the two sides of the square end, the total length that you want the transition to be when built, and how many folds you want to have coming from each corner of the square end.
2 - Start by making two concentric arcs with the "Inner Radius" and the "Outer Radius"
3 - Along the outer arc, draw a straight line equal to the long side of the square end of the evolution.
4 - From the endpoints of that straight line, draw two straight lines equal to the </a:t>
          </a:r>
          <a:r>
            <a:rPr lang="en-US" cap="none" sz="1000" b="0" i="1" u="none" baseline="0">
              <a:latin typeface="Arial"/>
              <a:ea typeface="Arial"/>
              <a:cs typeface="Arial"/>
            </a:rPr>
            <a:t>short</a:t>
          </a:r>
          <a:r>
            <a:rPr lang="en-US" cap="none" sz="1000" b="0" i="0" u="none" baseline="0">
              <a:latin typeface="Arial"/>
              <a:ea typeface="Arial"/>
              <a:cs typeface="Arial"/>
            </a:rPr>
            <a:t> side.
5 - From </a:t>
          </a:r>
          <a:r>
            <a:rPr lang="en-US" cap="none" sz="1000" b="0" i="1" u="none" baseline="0">
              <a:latin typeface="Arial"/>
              <a:ea typeface="Arial"/>
              <a:cs typeface="Arial"/>
            </a:rPr>
            <a:t>those</a:t>
          </a:r>
          <a:r>
            <a:rPr lang="en-US" cap="none" sz="1000" b="0" i="0" u="none" baseline="0">
              <a:latin typeface="Arial"/>
              <a:ea typeface="Arial"/>
              <a:cs typeface="Arial"/>
            </a:rPr>
            <a:t> endpoints, draw two more straight lines equal to the long sides.
6 - Draw an isosceles triangle from the middle long line to the inner arc (from A to 1 to B)
7 - Using a compass, mark off one "Long Tick Distance" on either side of the top of the triangle (ie, from point "1").
8 - Then, mark off </a:t>
          </a:r>
          <a:r>
            <a:rPr lang="en-US" cap="none" sz="1000" b="0" i="1" u="none" baseline="0">
              <a:latin typeface="Arial"/>
              <a:ea typeface="Arial"/>
              <a:cs typeface="Arial"/>
            </a:rPr>
            <a:t>another</a:t>
          </a:r>
          <a:r>
            <a:rPr lang="en-US" cap="none" sz="1000" b="0" i="0" u="none" baseline="0">
              <a:latin typeface="Arial"/>
              <a:ea typeface="Arial"/>
              <a:cs typeface="Arial"/>
            </a:rPr>
            <a:t> Long Tick Distance from both of those two marks from above. These mark the ends of the total arc of the pattern, and this is where you'll make the cut.
9 - Mark off as many "Short Tick Distance" ticks as will fit between each of the long ticks. You should be able to fit the same number as you specified in "Folds per Corner".
Important Note: If the circumference of your round duct is </a:t>
          </a:r>
          <a:r>
            <a:rPr lang="en-US" cap="none" sz="1000" b="0" i="1" u="none" baseline="0">
              <a:latin typeface="Arial"/>
              <a:ea typeface="Arial"/>
              <a:cs typeface="Arial"/>
            </a:rPr>
            <a:t>larger</a:t>
          </a:r>
          <a:r>
            <a:rPr lang="en-US" cap="none" sz="1000" b="0" i="0" u="none" baseline="0">
              <a:latin typeface="Arial"/>
              <a:ea typeface="Arial"/>
              <a:cs typeface="Arial"/>
            </a:rPr>
            <a:t> than the perimeter of your square end (ie, if the sum of your short and long square sides is </a:t>
          </a:r>
          <a:r>
            <a:rPr lang="en-US" cap="none" sz="1000" b="0" i="1" u="none" baseline="0">
              <a:latin typeface="Arial"/>
              <a:ea typeface="Arial"/>
              <a:cs typeface="Arial"/>
            </a:rPr>
            <a:t>less</a:t>
          </a:r>
          <a:r>
            <a:rPr lang="en-US" cap="none" sz="1000" b="0" i="0" u="none" baseline="0">
              <a:latin typeface="Arial"/>
              <a:ea typeface="Arial"/>
              <a:cs typeface="Arial"/>
            </a:rPr>
            <a:t> than 50% larger than your duct diameter), then the "Inner Radius" will be </a:t>
          </a:r>
          <a:r>
            <a:rPr lang="en-US" cap="none" sz="1000" b="0" i="1" u="none" baseline="0">
              <a:latin typeface="Arial"/>
              <a:ea typeface="Arial"/>
              <a:cs typeface="Arial"/>
            </a:rPr>
            <a:t>larger</a:t>
          </a:r>
          <a:r>
            <a:rPr lang="en-US" cap="none" sz="1000" b="0" i="0" u="none" baseline="0">
              <a:latin typeface="Arial"/>
              <a:ea typeface="Arial"/>
              <a:cs typeface="Arial"/>
            </a:rPr>
            <a:t> than the "Outer Radius". In other words, the outer and inner radii will have </a:t>
          </a:r>
          <a:r>
            <a:rPr lang="en-US" cap="none" sz="1000" b="0" i="1" u="none" baseline="0">
              <a:latin typeface="Arial"/>
              <a:ea typeface="Arial"/>
              <a:cs typeface="Arial"/>
            </a:rPr>
            <a:t>switched</a:t>
          </a:r>
          <a:r>
            <a:rPr lang="en-US" cap="none" sz="1000" b="0" i="0" u="none" baseline="0">
              <a:latin typeface="Arial"/>
              <a:ea typeface="Arial"/>
              <a:cs typeface="Arial"/>
            </a:rPr>
            <a:t>! If this happens, everything should still work out. You just need to make sure to make your straight lines along the "Outer Radius" arc (which will actually now be the inner one) and make your tick marks along the "Inner Radius" arc (which will be the outer 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22</xdr:row>
      <xdr:rowOff>66675</xdr:rowOff>
    </xdr:from>
    <xdr:to>
      <xdr:col>6</xdr:col>
      <xdr:colOff>304800</xdr:colOff>
      <xdr:row>34</xdr:row>
      <xdr:rowOff>38100</xdr:rowOff>
    </xdr:to>
    <xdr:pic>
      <xdr:nvPicPr>
        <xdr:cNvPr id="1" name="Picture 1"/>
        <xdr:cNvPicPr preferRelativeResize="1">
          <a:picLocks noChangeAspect="1"/>
        </xdr:cNvPicPr>
      </xdr:nvPicPr>
      <xdr:blipFill>
        <a:blip r:embed="rId1"/>
        <a:stretch>
          <a:fillRect/>
        </a:stretch>
      </xdr:blipFill>
      <xdr:spPr>
        <a:xfrm>
          <a:off x="142875" y="5143500"/>
          <a:ext cx="4010025" cy="1914525"/>
        </a:xfrm>
        <a:prstGeom prst="rect">
          <a:avLst/>
        </a:prstGeom>
        <a:noFill/>
        <a:ln w="9525" cmpd="sng">
          <a:noFill/>
        </a:ln>
      </xdr:spPr>
    </xdr:pic>
    <xdr:clientData/>
  </xdr:twoCellAnchor>
  <xdr:twoCellAnchor editAs="oneCell">
    <xdr:from>
      <xdr:col>0</xdr:col>
      <xdr:colOff>409575</xdr:colOff>
      <xdr:row>1</xdr:row>
      <xdr:rowOff>38100</xdr:rowOff>
    </xdr:from>
    <xdr:to>
      <xdr:col>4</xdr:col>
      <xdr:colOff>304800</xdr:colOff>
      <xdr:row>7</xdr:row>
      <xdr:rowOff>171450</xdr:rowOff>
    </xdr:to>
    <xdr:pic>
      <xdr:nvPicPr>
        <xdr:cNvPr id="2" name="Picture 2"/>
        <xdr:cNvPicPr preferRelativeResize="1">
          <a:picLocks noChangeAspect="1"/>
        </xdr:cNvPicPr>
      </xdr:nvPicPr>
      <xdr:blipFill>
        <a:blip r:embed="rId2"/>
        <a:stretch>
          <a:fillRect/>
        </a:stretch>
      </xdr:blipFill>
      <xdr:spPr>
        <a:xfrm>
          <a:off x="409575" y="209550"/>
          <a:ext cx="2333625" cy="2276475"/>
        </a:xfrm>
        <a:prstGeom prst="rect">
          <a:avLst/>
        </a:prstGeom>
        <a:noFill/>
        <a:ln w="9525" cmpd="sng">
          <a:noFill/>
        </a:ln>
      </xdr:spPr>
    </xdr:pic>
    <xdr:clientData/>
  </xdr:twoCellAnchor>
  <xdr:twoCellAnchor editAs="oneCell">
    <xdr:from>
      <xdr:col>1</xdr:col>
      <xdr:colOff>142875</xdr:colOff>
      <xdr:row>9</xdr:row>
      <xdr:rowOff>85725</xdr:rowOff>
    </xdr:from>
    <xdr:to>
      <xdr:col>3</xdr:col>
      <xdr:colOff>438150</xdr:colOff>
      <xdr:row>19</xdr:row>
      <xdr:rowOff>133350</xdr:rowOff>
    </xdr:to>
    <xdr:pic>
      <xdr:nvPicPr>
        <xdr:cNvPr id="3" name="Picture 3"/>
        <xdr:cNvPicPr preferRelativeResize="1">
          <a:picLocks noChangeAspect="1"/>
        </xdr:cNvPicPr>
      </xdr:nvPicPr>
      <xdr:blipFill>
        <a:blip r:embed="rId3"/>
        <a:stretch>
          <a:fillRect/>
        </a:stretch>
      </xdr:blipFill>
      <xdr:spPr>
        <a:xfrm>
          <a:off x="752475" y="3057525"/>
          <a:ext cx="1514475"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C2:N40"/>
  <sheetViews>
    <sheetView tabSelected="1" workbookViewId="0" topLeftCell="A1">
      <selection activeCell="F10" sqref="F10"/>
    </sheetView>
  </sheetViews>
  <sheetFormatPr defaultColWidth="9.140625" defaultRowHeight="12.75"/>
  <cols>
    <col min="3" max="6" width="12.00390625" style="0" bestFit="1" customWidth="1"/>
    <col min="7" max="7" width="12.00390625" style="0" customWidth="1"/>
    <col min="8" max="8" width="9.421875" style="0" customWidth="1"/>
    <col min="9" max="9" width="10.00390625" style="0" customWidth="1"/>
    <col min="10" max="10" width="9.7109375" style="0" customWidth="1"/>
    <col min="11" max="11" width="47.00390625" style="0" customWidth="1"/>
    <col min="13" max="13" width="17.140625" style="0" customWidth="1"/>
  </cols>
  <sheetData>
    <row r="1" ht="13.5" thickBot="1"/>
    <row r="2" spans="3:7" ht="38.25">
      <c r="C2" s="14" t="s">
        <v>43</v>
      </c>
      <c r="D2" s="14" t="s">
        <v>45</v>
      </c>
      <c r="E2" s="14" t="s">
        <v>44</v>
      </c>
      <c r="F2" s="14" t="s">
        <v>42</v>
      </c>
      <c r="G2" s="14" t="s">
        <v>41</v>
      </c>
    </row>
    <row r="3" spans="3:7" ht="13.5" thickBot="1">
      <c r="C3" s="16">
        <v>5</v>
      </c>
      <c r="D3" s="16">
        <v>8</v>
      </c>
      <c r="E3" s="16">
        <v>4</v>
      </c>
      <c r="F3" s="16">
        <v>8</v>
      </c>
      <c r="G3" s="16">
        <v>4</v>
      </c>
    </row>
    <row r="4" ht="13.5" thickBot="1"/>
    <row r="5" spans="3:10" ht="25.5">
      <c r="C5" s="15" t="s">
        <v>46</v>
      </c>
      <c r="D5" s="15" t="s">
        <v>47</v>
      </c>
      <c r="E5" s="15" t="s">
        <v>48</v>
      </c>
      <c r="F5" s="15" t="s">
        <v>53</v>
      </c>
      <c r="I5" s="31" t="s">
        <v>20</v>
      </c>
      <c r="J5" s="23"/>
    </row>
    <row r="6" spans="3:10" ht="13.5" thickBot="1">
      <c r="C6" s="17">
        <f>2*ASIN(LongABSide/2/D9)</f>
        <v>0.3453673851413828</v>
      </c>
      <c r="D6" s="17">
        <f>2*ASIN(ShortABSide/2/D9)</f>
        <v>0.1720388269680741</v>
      </c>
      <c r="E6" s="17">
        <f>2*C6+2*D6</f>
        <v>1.0348124242189138</v>
      </c>
      <c r="F6" s="17">
        <f>E6/4/(Folds-1)</f>
        <v>0.08623436868490948</v>
      </c>
      <c r="I6" s="32">
        <v>3.1415927</v>
      </c>
      <c r="J6" s="23"/>
    </row>
    <row r="7" spans="9:10" ht="13.5" thickBot="1">
      <c r="I7" s="23"/>
      <c r="J7" s="23"/>
    </row>
    <row r="8" spans="3:6" ht="26.25" thickBot="1">
      <c r="C8" s="18" t="s">
        <v>49</v>
      </c>
      <c r="D8" s="18" t="s">
        <v>50</v>
      </c>
      <c r="E8" s="18" t="s">
        <v>51</v>
      </c>
      <c r="F8" s="18" t="s">
        <v>52</v>
      </c>
    </row>
    <row r="9" spans="3:10" ht="13.5" thickBot="1">
      <c r="C9" s="19">
        <f>2*pi*DuctDiameter/2/E6</f>
        <v>15.179527354299518</v>
      </c>
      <c r="D9" s="22">
        <f>VLOOKUP(TransitionLength,I11:J40,2)</f>
        <v>23.27926332243804</v>
      </c>
      <c r="E9" s="20">
        <f>2*C9*SIN(F6/2)</f>
        <v>1.3085914051613865</v>
      </c>
      <c r="F9" s="21">
        <f>2*C9*SIN(E6/4/2)</f>
        <v>3.9160490792838556</v>
      </c>
      <c r="J9" s="23" t="s">
        <v>40</v>
      </c>
    </row>
    <row r="10" spans="10:14" ht="29.25" customHeight="1" thickBot="1">
      <c r="J10" s="35">
        <v>0.002</v>
      </c>
      <c r="K10" s="34" t="s">
        <v>54</v>
      </c>
      <c r="L10" s="33"/>
      <c r="M10" s="33"/>
      <c r="N10" s="33"/>
    </row>
    <row r="11" spans="7:10" ht="12.75">
      <c r="G11" s="1"/>
      <c r="I11" s="24">
        <v>0</v>
      </c>
      <c r="J11" s="25">
        <v>0</v>
      </c>
    </row>
    <row r="12" spans="9:10" ht="12.75">
      <c r="I12" s="26">
        <f aca="true" t="shared" si="0" ref="I12:I17">((SQRT((2*pi*DuctDiameter/2/(4*ASIN(LongABSide/2/J12)+4*ASIN(ShortABSide/2/J12)))^2-(DuctDiameter/2)^2)*((1/(2*pi*DuctDiameter/2/(4*ASIN(LongABSide/2/J12)+4*ASIN(ShortABSide/2/J12)))*J12)-1)))</f>
        <v>7.844457488442411</v>
      </c>
      <c r="J12" s="27">
        <f aca="true" t="shared" si="1" ref="J12:J24">J13*(1-$J$10)</f>
        <v>22.863573199724886</v>
      </c>
    </row>
    <row r="13" spans="9:10" ht="12.75">
      <c r="I13" s="26">
        <f t="shared" si="0"/>
        <v>7.860405815963747</v>
      </c>
      <c r="J13" s="27">
        <f t="shared" si="1"/>
        <v>22.90939198369227</v>
      </c>
    </row>
    <row r="14" spans="5:10" ht="12.75">
      <c r="E14" s="7"/>
      <c r="F14" s="7"/>
      <c r="I14" s="26">
        <f t="shared" si="0"/>
        <v>7.876385582755207</v>
      </c>
      <c r="J14" s="27">
        <f t="shared" si="1"/>
        <v>22.955302588870012</v>
      </c>
    </row>
    <row r="15" spans="5:10" ht="12.75">
      <c r="E15" s="5"/>
      <c r="F15" s="6"/>
      <c r="I15" s="26">
        <f t="shared" si="0"/>
        <v>7.892396853274396</v>
      </c>
      <c r="J15" s="27">
        <f t="shared" si="1"/>
        <v>23.00130519926855</v>
      </c>
    </row>
    <row r="16" spans="5:10" ht="12.75">
      <c r="E16" s="5"/>
      <c r="F16" s="6"/>
      <c r="I16" s="26">
        <f t="shared" si="0"/>
        <v>7.908439692102547</v>
      </c>
      <c r="J16" s="27">
        <f t="shared" si="1"/>
        <v>23.047399999267085</v>
      </c>
    </row>
    <row r="17" spans="5:10" ht="12.75">
      <c r="E17" s="5"/>
      <c r="F17" s="6"/>
      <c r="I17" s="26">
        <f t="shared" si="0"/>
        <v>7.924514163944765</v>
      </c>
      <c r="J17" s="27">
        <f t="shared" si="1"/>
        <v>23.093587173614313</v>
      </c>
    </row>
    <row r="18" spans="5:10" ht="12.75">
      <c r="E18" s="5"/>
      <c r="F18" s="6"/>
      <c r="I18" s="26">
        <f aca="true" t="shared" si="2" ref="I18:I39">((SQRT((2*pi*DuctDiameter/2/(4*ASIN(LongABSide/2/J18)+4*ASIN(ShortABSide/2/J18)))^2-(DuctDiameter/2)^2)*((1/(2*pi*DuctDiameter/2/(4*ASIN(LongABSide/2/J18)+4*ASIN(ShortABSide/2/J18)))*J18)-1)))</f>
        <v>7.940620333630327</v>
      </c>
      <c r="J18" s="27">
        <f t="shared" si="1"/>
        <v>23.139866907429173</v>
      </c>
    </row>
    <row r="19" spans="5:10" ht="12.75">
      <c r="E19" s="5"/>
      <c r="F19" s="6"/>
      <c r="I19" s="26">
        <f t="shared" si="2"/>
        <v>7.9567582661129554</v>
      </c>
      <c r="J19" s="27">
        <f t="shared" si="1"/>
        <v>23.186239386201578</v>
      </c>
    </row>
    <row r="20" spans="5:10" ht="12.75">
      <c r="E20" s="5"/>
      <c r="F20" s="6"/>
      <c r="I20" s="26">
        <f t="shared" si="2"/>
        <v>7.97292802647109</v>
      </c>
      <c r="J20" s="27">
        <f t="shared" si="1"/>
        <v>23.232704795793165</v>
      </c>
    </row>
    <row r="21" spans="5:10" ht="12.75">
      <c r="E21" s="5"/>
      <c r="F21" s="6"/>
      <c r="I21" s="26">
        <f t="shared" si="2"/>
        <v>7.98912967990818</v>
      </c>
      <c r="J21" s="27">
        <f t="shared" si="1"/>
        <v>23.27926332243804</v>
      </c>
    </row>
    <row r="22" spans="5:10" ht="12.75">
      <c r="E22" s="5"/>
      <c r="F22" s="6"/>
      <c r="I22" s="26">
        <f t="shared" si="2"/>
        <v>8.005363291752941</v>
      </c>
      <c r="J22" s="27">
        <f t="shared" si="1"/>
        <v>23.325915152743526</v>
      </c>
    </row>
    <row r="23" spans="5:10" ht="12.75">
      <c r="E23" s="5"/>
      <c r="F23" s="6"/>
      <c r="I23" s="26">
        <f t="shared" si="2"/>
        <v>8.021628927459648</v>
      </c>
      <c r="J23" s="27">
        <f t="shared" si="1"/>
        <v>23.372660473690907</v>
      </c>
    </row>
    <row r="24" spans="5:10" ht="12.75">
      <c r="E24" s="5"/>
      <c r="F24" s="6"/>
      <c r="I24" s="26">
        <f t="shared" si="2"/>
        <v>8.037926652608421</v>
      </c>
      <c r="J24" s="27">
        <f t="shared" si="1"/>
        <v>23.41949947263618</v>
      </c>
    </row>
    <row r="25" spans="5:10" ht="12.75">
      <c r="E25" s="5"/>
      <c r="F25" s="6"/>
      <c r="I25" s="26">
        <f t="shared" si="2"/>
        <v>8.054256532905484</v>
      </c>
      <c r="J25" s="28">
        <f>SQRT((((LongABSide+ShortABSide)/3.1415)/(((LongABSide+ShortABSide)/3.1415)-(DuctDiameter/2))*TransitionLength)^2+((LongABSide+ShortABSide)/3.1415)^2)</f>
        <v>23.4664323373108</v>
      </c>
    </row>
    <row r="26" spans="5:10" ht="12.75">
      <c r="E26" s="5"/>
      <c r="F26" s="6"/>
      <c r="I26" s="26">
        <f t="shared" si="2"/>
        <v>8.070585910482363</v>
      </c>
      <c r="J26" s="27">
        <f aca="true" t="shared" si="3" ref="J26:J39">J25*(1+$J$10)</f>
        <v>23.51336520198542</v>
      </c>
    </row>
    <row r="27" spans="5:10" ht="12.75">
      <c r="E27" s="5"/>
      <c r="F27" s="6"/>
      <c r="I27" s="26">
        <f t="shared" si="2"/>
        <v>8.086947445978112</v>
      </c>
      <c r="J27" s="27">
        <f t="shared" si="3"/>
        <v>23.56039193238939</v>
      </c>
    </row>
    <row r="28" spans="5:10" ht="12.75">
      <c r="E28" s="5"/>
      <c r="F28" s="6"/>
      <c r="I28" s="26">
        <f t="shared" si="2"/>
        <v>8.103341205083272</v>
      </c>
      <c r="J28" s="27">
        <f t="shared" si="3"/>
        <v>23.607512716254167</v>
      </c>
    </row>
    <row r="29" spans="5:10" ht="12.75">
      <c r="E29" s="5"/>
      <c r="F29" s="6"/>
      <c r="I29" s="26">
        <f t="shared" si="2"/>
        <v>8.11976725361462</v>
      </c>
      <c r="J29" s="27">
        <f t="shared" si="3"/>
        <v>23.654727741686674</v>
      </c>
    </row>
    <row r="30" spans="5:10" ht="12.75">
      <c r="E30" s="5"/>
      <c r="F30" s="6"/>
      <c r="I30" s="26">
        <f t="shared" si="2"/>
        <v>8.13622565751544</v>
      </c>
      <c r="J30" s="27">
        <f t="shared" si="3"/>
        <v>23.702037197170046</v>
      </c>
    </row>
    <row r="31" spans="5:10" ht="12.75">
      <c r="E31" s="5"/>
      <c r="F31" s="6"/>
      <c r="I31" s="26">
        <f t="shared" si="2"/>
        <v>8.152716482855789</v>
      </c>
      <c r="J31" s="27">
        <f t="shared" si="3"/>
        <v>23.749441271564386</v>
      </c>
    </row>
    <row r="32" spans="5:10" ht="12.75">
      <c r="E32" s="5"/>
      <c r="F32" s="6"/>
      <c r="I32" s="26">
        <f t="shared" si="2"/>
        <v>8.16923979583281</v>
      </c>
      <c r="J32" s="27">
        <f t="shared" si="3"/>
        <v>23.796940154107514</v>
      </c>
    </row>
    <row r="33" spans="5:10" ht="12.75">
      <c r="E33" s="5"/>
      <c r="F33" s="6"/>
      <c r="I33" s="26">
        <f t="shared" si="2"/>
        <v>8.185795662770964</v>
      </c>
      <c r="J33" s="27">
        <f t="shared" si="3"/>
        <v>23.84453403441573</v>
      </c>
    </row>
    <row r="34" spans="5:10" ht="12.75">
      <c r="E34" s="5"/>
      <c r="F34" s="6"/>
      <c r="I34" s="26">
        <f t="shared" si="2"/>
        <v>8.202384150122349</v>
      </c>
      <c r="J34" s="27">
        <f t="shared" si="3"/>
        <v>23.89222310248456</v>
      </c>
    </row>
    <row r="35" spans="5:10" ht="12.75">
      <c r="E35" s="5"/>
      <c r="F35" s="8"/>
      <c r="I35" s="26">
        <f t="shared" si="2"/>
        <v>8.21900532446696</v>
      </c>
      <c r="J35" s="27">
        <f t="shared" si="3"/>
        <v>23.94000754868953</v>
      </c>
    </row>
    <row r="36" spans="5:10" ht="12.75">
      <c r="E36" s="5"/>
      <c r="F36" s="8"/>
      <c r="I36" s="26">
        <f t="shared" si="2"/>
        <v>8.235659252512987</v>
      </c>
      <c r="J36" s="27">
        <f t="shared" si="3"/>
        <v>23.98788756378691</v>
      </c>
    </row>
    <row r="37" spans="9:10" ht="12.75">
      <c r="I37" s="26">
        <f t="shared" si="2"/>
        <v>8.252346001097072</v>
      </c>
      <c r="J37" s="27">
        <f t="shared" si="3"/>
        <v>24.035863338914485</v>
      </c>
    </row>
    <row r="38" spans="9:10" ht="12.75">
      <c r="I38" s="26">
        <f t="shared" si="2"/>
        <v>8.269065637184625</v>
      </c>
      <c r="J38" s="27">
        <f t="shared" si="3"/>
        <v>24.083935065592314</v>
      </c>
    </row>
    <row r="39" spans="9:10" ht="12.75">
      <c r="I39" s="26">
        <f t="shared" si="2"/>
        <v>8.28581822787007</v>
      </c>
      <c r="J39" s="27">
        <f t="shared" si="3"/>
        <v>24.1321029357235</v>
      </c>
    </row>
    <row r="40" spans="9:10" ht="13.5" thickBot="1">
      <c r="I40" s="29">
        <v>9999</v>
      </c>
      <c r="J40" s="30">
        <v>9999</v>
      </c>
    </row>
  </sheetData>
  <sheetProtection/>
  <printOptions/>
  <pageMargins left="0.5" right="0.5" top="0.5" bottom="0.5" header="0.5" footer="0.5"/>
  <pageSetup fitToHeight="1" fitToWidth="1" horizontalDpi="600" verticalDpi="600" orientation="portrait"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F2:W36"/>
  <sheetViews>
    <sheetView workbookViewId="0" topLeftCell="A1">
      <selection activeCell="J3" sqref="J3"/>
    </sheetView>
  </sheetViews>
  <sheetFormatPr defaultColWidth="9.140625" defaultRowHeight="12.75"/>
  <cols>
    <col min="6" max="9" width="12.00390625" style="0" bestFit="1" customWidth="1"/>
    <col min="10" max="10" width="12.00390625" style="0" customWidth="1"/>
    <col min="11" max="11" width="9.421875" style="0" customWidth="1"/>
    <col min="12" max="12" width="10.00390625" style="0" customWidth="1"/>
    <col min="14" max="14" width="13.28125" style="0" customWidth="1"/>
    <col min="15" max="15" width="11.00390625" style="0" customWidth="1"/>
  </cols>
  <sheetData>
    <row r="1" ht="13.5" thickBot="1"/>
    <row r="2" spans="6:18" ht="38.25">
      <c r="F2" s="14" t="s">
        <v>43</v>
      </c>
      <c r="G2" s="14" t="s">
        <v>45</v>
      </c>
      <c r="H2" s="14" t="s">
        <v>44</v>
      </c>
      <c r="I2" s="14" t="s">
        <v>42</v>
      </c>
      <c r="J2" s="14" t="s">
        <v>41</v>
      </c>
      <c r="K2" s="9" t="s">
        <v>20</v>
      </c>
      <c r="R2">
        <v>27.15</v>
      </c>
    </row>
    <row r="3" spans="6:11" ht="13.5" thickBot="1">
      <c r="F3" s="3">
        <v>5</v>
      </c>
      <c r="G3" s="3">
        <v>10</v>
      </c>
      <c r="H3" s="3">
        <v>5</v>
      </c>
      <c r="I3" s="3">
        <v>8</v>
      </c>
      <c r="J3" s="3">
        <v>12</v>
      </c>
      <c r="K3" s="10">
        <v>3.1415927</v>
      </c>
    </row>
    <row r="4" spans="14:23" ht="13.5" thickBot="1">
      <c r="N4" s="11" t="s">
        <v>29</v>
      </c>
      <c r="R4" s="11" t="s">
        <v>39</v>
      </c>
      <c r="V4" t="s">
        <v>40</v>
      </c>
      <c r="W4">
        <v>0.002</v>
      </c>
    </row>
    <row r="5" spans="6:23" ht="76.5">
      <c r="F5" s="2" t="s">
        <v>0</v>
      </c>
      <c r="G5" s="2" t="s">
        <v>2</v>
      </c>
      <c r="H5" s="2" t="s">
        <v>6</v>
      </c>
      <c r="I5" s="2" t="s">
        <v>4</v>
      </c>
      <c r="J5" s="2" t="s">
        <v>5</v>
      </c>
      <c r="K5" s="2" t="s">
        <v>3</v>
      </c>
      <c r="N5" s="1" t="s">
        <v>14</v>
      </c>
      <c r="O5" t="s">
        <v>15</v>
      </c>
      <c r="P5" s="1" t="s">
        <v>13</v>
      </c>
      <c r="R5" t="s">
        <v>32</v>
      </c>
      <c r="W5" t="s">
        <v>32</v>
      </c>
    </row>
    <row r="6" spans="6:23" ht="13.5" thickBot="1">
      <c r="F6" s="4">
        <f>SQRT(TransitionLength^2+((DuctDiameter-ShortABSide)/2)^2)</f>
        <v>8</v>
      </c>
      <c r="G6" s="4">
        <f>SQRT(F6^2+(LongABSide/2)^2)</f>
        <v>9.433981132056603</v>
      </c>
      <c r="H6" s="4">
        <f>SQRT((LongABSide/2)^2+(ShortABSide/2)^2)</f>
        <v>5.5901699437494745</v>
      </c>
      <c r="I6" s="4">
        <f>H6-DuctDiameter/2</f>
        <v>3.0901699437494745</v>
      </c>
      <c r="J6" s="4">
        <f>SQRT(I6^2+TransitionLength^2)</f>
        <v>8.576080123299493</v>
      </c>
      <c r="K6" s="4">
        <f>3.1415*2*DuctDiameter/(Folds-1)/4</f>
        <v>0.7139772727272727</v>
      </c>
      <c r="N6">
        <f>DuctDiameter/2</f>
        <v>2.5</v>
      </c>
      <c r="O6">
        <f>(LongABSide+ShortABSide)/3.1415</f>
        <v>4.774789113480821</v>
      </c>
      <c r="P6">
        <f>O6/(O6-N6)*TransitionLength</f>
        <v>16.792023788700366</v>
      </c>
      <c r="R6">
        <v>17.2838</v>
      </c>
      <c r="V6">
        <f aca="true" t="shared" si="0" ref="V6:V24">((SQRT((2*pi*DuctDiameter/2/(4*ASIN(LongABSide/2/W6)+4*ASIN(ShortABSide/2/W6)))^2-(DuctDiameter/2)^2)*((1/(2*pi*DuctDiameter/2/(4*ASIN(LongABSide/2/W6)+4*ASIN(ShortABSide/2/W6)))*W6)-1)))</f>
        <v>7.948758149341994</v>
      </c>
      <c r="W6">
        <f aca="true" t="shared" si="1" ref="W6:W13">W7*(1-$W$4)</f>
        <v>17.180306918501774</v>
      </c>
    </row>
    <row r="7" spans="22:23" ht="13.5" thickBot="1">
      <c r="V7">
        <f t="shared" si="0"/>
        <v>7.965696763503761</v>
      </c>
      <c r="W7">
        <f t="shared" si="1"/>
        <v>17.214736391284344</v>
      </c>
    </row>
    <row r="8" spans="6:23" ht="38.25">
      <c r="F8" s="2" t="s">
        <v>7</v>
      </c>
      <c r="G8" s="2" t="s">
        <v>8</v>
      </c>
      <c r="H8" s="2" t="s">
        <v>10</v>
      </c>
      <c r="I8" s="2" t="s">
        <v>11</v>
      </c>
      <c r="J8" s="2" t="s">
        <v>12</v>
      </c>
      <c r="N8" t="s">
        <v>18</v>
      </c>
      <c r="O8" t="s">
        <v>19</v>
      </c>
      <c r="R8" t="s">
        <v>30</v>
      </c>
      <c r="S8" t="s">
        <v>31</v>
      </c>
      <c r="T8" t="s">
        <v>33</v>
      </c>
      <c r="V8">
        <f t="shared" si="0"/>
        <v>7.982666753686899</v>
      </c>
      <c r="W8">
        <f t="shared" si="1"/>
        <v>17.249234861006357</v>
      </c>
    </row>
    <row r="9" spans="6:23" ht="13.5" thickBot="1">
      <c r="F9" s="4">
        <f>J6*H6/I6</f>
        <v>15.514274688169975</v>
      </c>
      <c r="G9" s="4">
        <f>J6*DuctDiameter/2/I6</f>
        <v>6.938194564870483</v>
      </c>
      <c r="H9" s="4">
        <f>180-(ACOS(LongABSide/2/F9)/3.1415*180+ACOS(ShortABSide/2/F9)/3.1415*180)</f>
        <v>28.069800826291726</v>
      </c>
      <c r="I9" s="4">
        <f>COS($H$9/180*3.1415)*ShortABSide</f>
        <v>4.411909003857964</v>
      </c>
      <c r="J9" s="4">
        <f>SIN($H$9/180*3.1415)*ShortABSide</f>
        <v>2.3526705977839364</v>
      </c>
      <c r="N9">
        <f>2*pi*N6</f>
        <v>15.7079635</v>
      </c>
      <c r="O9">
        <f>2*pi*O6</f>
        <v>30.00088524590164</v>
      </c>
      <c r="R9">
        <f>2*ASIN(LongABSide/2/R6)</f>
        <v>0.5869663926566792</v>
      </c>
      <c r="S9">
        <f>2*ASIN(ShortABSide/2/R6)</f>
        <v>0.29030659665597897</v>
      </c>
      <c r="T9">
        <f>2*R9+2*S9</f>
        <v>1.7545459786253161</v>
      </c>
      <c r="V9">
        <f t="shared" si="0"/>
        <v>7.99966819166287</v>
      </c>
      <c r="W9">
        <f t="shared" si="1"/>
        <v>17.283802465938233</v>
      </c>
    </row>
    <row r="10" spans="22:23" ht="12.75">
      <c r="V10">
        <f t="shared" si="0"/>
        <v>8.016701149301557</v>
      </c>
      <c r="W10">
        <f t="shared" si="1"/>
        <v>17.31843934462749</v>
      </c>
    </row>
    <row r="11" spans="10:23" ht="12.75">
      <c r="J11" s="1"/>
      <c r="R11" t="s">
        <v>34</v>
      </c>
      <c r="S11" t="s">
        <v>35</v>
      </c>
      <c r="T11" t="s">
        <v>36</v>
      </c>
      <c r="V11">
        <f t="shared" si="0"/>
        <v>8.033765698571768</v>
      </c>
      <c r="W11">
        <f t="shared" si="1"/>
        <v>17.35314563589929</v>
      </c>
    </row>
    <row r="12" spans="14:23" ht="12.75">
      <c r="N12" t="s">
        <v>21</v>
      </c>
      <c r="O12" t="s">
        <v>22</v>
      </c>
      <c r="P12" t="s">
        <v>27</v>
      </c>
      <c r="R12">
        <f>2*pi*DuctDiameter/2/T9</f>
        <v>8.9527226367172</v>
      </c>
      <c r="S12">
        <f>SQRT(R12^2-(DuctDiameter/2)^2)</f>
        <v>8.596583193920045</v>
      </c>
      <c r="T12">
        <f>S12/R12*R6</f>
        <v>16.596250172847693</v>
      </c>
      <c r="V12">
        <f t="shared" si="0"/>
        <v>8.050861911541762</v>
      </c>
      <c r="W12">
        <f t="shared" si="1"/>
        <v>17.387921478857002</v>
      </c>
    </row>
    <row r="13" spans="14:23" ht="12.75">
      <c r="N13" s="11">
        <f>O13/O6*N6</f>
        <v>9.14055153155832</v>
      </c>
      <c r="O13" s="11">
        <f>SQRT((P6)^2+O6^2)</f>
        <v>17.457682377638044</v>
      </c>
      <c r="P13">
        <f>O13-N13</f>
        <v>8.317130846079724</v>
      </c>
      <c r="V13">
        <f t="shared" si="0"/>
        <v>8.067989860379749</v>
      </c>
      <c r="W13">
        <f t="shared" si="1"/>
        <v>17.42276701288277</v>
      </c>
    </row>
    <row r="14" spans="8:23" ht="12.75">
      <c r="H14" s="7" t="s">
        <v>9</v>
      </c>
      <c r="I14" s="7" t="s">
        <v>1</v>
      </c>
      <c r="R14" t="s">
        <v>37</v>
      </c>
      <c r="S14" t="s">
        <v>38</v>
      </c>
      <c r="V14">
        <f t="shared" si="0"/>
        <v>8.085149617354395</v>
      </c>
      <c r="W14" s="13">
        <f>Side2</f>
        <v>17.457682377638044</v>
      </c>
    </row>
    <row r="15" spans="8:23" ht="12.75">
      <c r="H15" s="5">
        <v>1</v>
      </c>
      <c r="I15" s="6">
        <f aca="true" t="shared" si="2" ref="I15:I35">IF(ISNUMBER(H15),SQRT((ShortABSide/2-DuctDiameter/2*COS((H15-1)*3.1415/2/Folds))^2+(LongABSide/2-DuctDiameter/2*SIN((H15-1)*3.1415/2/Folds))^2+(TransitionLength)^2),"")</f>
        <v>9.433981132056603</v>
      </c>
      <c r="N15" t="s">
        <v>24</v>
      </c>
      <c r="O15" t="s">
        <v>23</v>
      </c>
      <c r="P15" t="s">
        <v>25</v>
      </c>
      <c r="R15">
        <f>T12-S12</f>
        <v>7.999666978927648</v>
      </c>
      <c r="S15" s="12">
        <f>ABS(R15-TransitionLength)/R15</f>
        <v>4.162936697608199E-05</v>
      </c>
      <c r="V15">
        <f t="shared" si="0"/>
        <v>8.102306874053275</v>
      </c>
      <c r="W15">
        <f aca="true" t="shared" si="3" ref="W15:W24">W14*(1+$W$4)</f>
        <v>17.49259774239332</v>
      </c>
    </row>
    <row r="16" spans="8:23" ht="12.75">
      <c r="H16" s="5">
        <f aca="true" t="shared" si="4" ref="H16:H36">IF(H15&lt;Folds,H15+1,"")</f>
        <v>2</v>
      </c>
      <c r="I16" s="6">
        <f t="shared" si="2"/>
        <v>9.265196911943868</v>
      </c>
      <c r="N16">
        <f>2*ASIN(LongABSide/2/Side2)</f>
        <v>0.5809489599315355</v>
      </c>
      <c r="O16">
        <f>2*ASIN(ShortABSide/2/Side2)</f>
        <v>0.2873949073327243</v>
      </c>
      <c r="P16">
        <f>2*LongAngle+2*ShortAngle</f>
        <v>1.7366877345285197</v>
      </c>
      <c r="V16">
        <f t="shared" si="0"/>
        <v>8.119495956028464</v>
      </c>
      <c r="W16">
        <f t="shared" si="3"/>
        <v>17.527582937878105</v>
      </c>
    </row>
    <row r="17" spans="8:23" ht="12.75">
      <c r="H17" s="5">
        <f t="shared" si="4"/>
        <v>3</v>
      </c>
      <c r="I17" s="6">
        <f t="shared" si="2"/>
        <v>9.107997173676907</v>
      </c>
      <c r="V17">
        <f t="shared" si="0"/>
        <v>8.136716935418605</v>
      </c>
      <c r="W17">
        <f t="shared" si="3"/>
        <v>17.562638103753862</v>
      </c>
    </row>
    <row r="18" spans="8:23" ht="12.75">
      <c r="H18" s="5">
        <f t="shared" si="4"/>
        <v>4</v>
      </c>
      <c r="I18" s="6">
        <f t="shared" si="2"/>
        <v>8.965747717658866</v>
      </c>
      <c r="N18" t="s">
        <v>26</v>
      </c>
      <c r="O18" t="s">
        <v>28</v>
      </c>
      <c r="R18" t="s">
        <v>26</v>
      </c>
      <c r="S18" t="s">
        <v>28</v>
      </c>
      <c r="V18">
        <f t="shared" si="0"/>
        <v>8.153969884464013</v>
      </c>
      <c r="W18">
        <f t="shared" si="3"/>
        <v>17.59776337996137</v>
      </c>
    </row>
    <row r="19" spans="8:23" ht="12.75">
      <c r="H19" s="5">
        <f t="shared" si="4"/>
        <v>5</v>
      </c>
      <c r="I19" s="6">
        <f t="shared" si="2"/>
        <v>8.841658231133083</v>
      </c>
      <c r="N19">
        <f>P16/4/Folds</f>
        <v>0.03618099446934416</v>
      </c>
      <c r="O19" s="11">
        <f>2*Side1*SIN(N19/2)</f>
        <v>0.33069620611227873</v>
      </c>
      <c r="R19">
        <f>T9/4/Folds</f>
        <v>0.03655304122136075</v>
      </c>
      <c r="S19">
        <f>2*R12*SIN(R19/2)</f>
        <v>0.3272310213112695</v>
      </c>
      <c r="V19">
        <f t="shared" si="0"/>
        <v>8.171254875507156</v>
      </c>
      <c r="W19">
        <f t="shared" si="3"/>
        <v>17.632958906721296</v>
      </c>
    </row>
    <row r="20" spans="8:23" ht="12.75">
      <c r="H20" s="5">
        <f t="shared" si="4"/>
        <v>6</v>
      </c>
      <c r="I20" s="6">
        <f t="shared" si="2"/>
        <v>8.738666001726227</v>
      </c>
      <c r="V20">
        <f t="shared" si="0"/>
        <v>8.188571980993157</v>
      </c>
      <c r="W20">
        <f t="shared" si="3"/>
        <v>17.66822482453474</v>
      </c>
    </row>
    <row r="21" spans="8:23" ht="12.75">
      <c r="H21" s="5">
        <f t="shared" si="4"/>
        <v>7</v>
      </c>
      <c r="I21" s="6">
        <f t="shared" si="2"/>
        <v>8.659312931755077</v>
      </c>
      <c r="N21" t="s">
        <v>16</v>
      </c>
      <c r="O21" t="s">
        <v>17</v>
      </c>
      <c r="V21">
        <f t="shared" si="0"/>
        <v>8.205921273470274</v>
      </c>
      <c r="W21">
        <f t="shared" si="3"/>
        <v>17.70356127418381</v>
      </c>
    </row>
    <row r="22" spans="8:23" ht="12.75">
      <c r="H22" s="5">
        <f t="shared" si="4"/>
        <v>8</v>
      </c>
      <c r="I22" s="6">
        <f t="shared" si="2"/>
        <v>8.605625597503154</v>
      </c>
      <c r="N22">
        <f>2*N$13*SIN(2*3.1415*N$6/2/N$13)</f>
        <v>13.844897447803733</v>
      </c>
      <c r="O22">
        <f>2*O$13*SIN(2*3.1415*O$6/2/O$13)</f>
        <v>26.44258624441267</v>
      </c>
      <c r="V22">
        <f t="shared" si="0"/>
        <v>8.223302825590412</v>
      </c>
      <c r="W22">
        <f t="shared" si="3"/>
        <v>17.738968396732176</v>
      </c>
    </row>
    <row r="23" spans="8:23" ht="12.75">
      <c r="H23" s="5">
        <f t="shared" si="4"/>
        <v>9</v>
      </c>
      <c r="I23" s="6">
        <f t="shared" si="2"/>
        <v>8.579010236645946</v>
      </c>
      <c r="V23">
        <f t="shared" si="0"/>
        <v>8.240716710109599</v>
      </c>
      <c r="W23">
        <f t="shared" si="3"/>
        <v>17.774446333525642</v>
      </c>
    </row>
    <row r="24" spans="8:23" ht="12.75">
      <c r="H24" s="5">
        <f t="shared" si="4"/>
        <v>10</v>
      </c>
      <c r="I24" s="6">
        <f t="shared" si="2"/>
        <v>8.580174820786558</v>
      </c>
      <c r="R24" s="11">
        <f>VLOOKUP(TransitionLength,V6:W24,2)</f>
        <v>17.283802465938233</v>
      </c>
      <c r="V24">
        <f t="shared" si="0"/>
        <v>8.25816299988847</v>
      </c>
      <c r="W24">
        <f t="shared" si="3"/>
        <v>17.809995226192694</v>
      </c>
    </row>
    <row r="25" spans="8:9" ht="12.75">
      <c r="H25" s="5">
        <f t="shared" si="4"/>
        <v>11</v>
      </c>
      <c r="I25" s="6">
        <f t="shared" si="2"/>
        <v>8.609088219366518</v>
      </c>
    </row>
    <row r="26" spans="8:9" ht="12.75">
      <c r="H26" s="5">
        <f t="shared" si="4"/>
        <v>12</v>
      </c>
      <c r="I26" s="6">
        <f t="shared" si="2"/>
        <v>8.664982018103132</v>
      </c>
    </row>
    <row r="27" spans="8:9" ht="12.75">
      <c r="H27" s="5">
        <f t="shared" si="4"/>
      </c>
      <c r="I27" s="6">
        <f t="shared" si="2"/>
      </c>
    </row>
    <row r="28" spans="8:9" ht="12.75">
      <c r="H28" s="5">
        <f t="shared" si="4"/>
      </c>
      <c r="I28" s="6">
        <f t="shared" si="2"/>
      </c>
    </row>
    <row r="29" spans="8:9" ht="12.75">
      <c r="H29" s="5">
        <f t="shared" si="4"/>
      </c>
      <c r="I29" s="6">
        <f t="shared" si="2"/>
      </c>
    </row>
    <row r="30" spans="8:9" ht="12.75">
      <c r="H30" s="5">
        <f t="shared" si="4"/>
      </c>
      <c r="I30" s="6">
        <f t="shared" si="2"/>
      </c>
    </row>
    <row r="31" spans="8:9" ht="12.75">
      <c r="H31" s="5">
        <f t="shared" si="4"/>
      </c>
      <c r="I31" s="6">
        <f t="shared" si="2"/>
      </c>
    </row>
    <row r="32" spans="8:9" ht="12.75">
      <c r="H32" s="5">
        <f t="shared" si="4"/>
      </c>
      <c r="I32" s="6">
        <f t="shared" si="2"/>
      </c>
    </row>
    <row r="33" spans="8:9" ht="12.75">
      <c r="H33" s="5">
        <f t="shared" si="4"/>
      </c>
      <c r="I33" s="6">
        <f t="shared" si="2"/>
      </c>
    </row>
    <row r="34" spans="8:9" ht="12.75">
      <c r="H34" s="5">
        <f t="shared" si="4"/>
      </c>
      <c r="I34" s="6">
        <f t="shared" si="2"/>
      </c>
    </row>
    <row r="35" spans="8:9" ht="12.75">
      <c r="H35" s="5">
        <f t="shared" si="4"/>
      </c>
      <c r="I35" s="6">
        <f t="shared" si="2"/>
      </c>
    </row>
    <row r="36" spans="8:9" ht="12.75">
      <c r="H36" s="5">
        <f t="shared" si="4"/>
      </c>
      <c r="I36" s="8">
        <f>IF(ISNUMBER(H36),"TOO MANY FOLDS!","")</f>
      </c>
    </row>
  </sheetData>
  <printOptions/>
  <pageMargins left="0.5" right="0.5" top="0.5" bottom="0.5" header="0.5" footer="0.5"/>
  <pageSetup fitToHeight="1" fitToWidth="1" horizontalDpi="600" verticalDpi="600" orientation="portrait"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College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Emenaker</dc:creator>
  <cp:keywords/>
  <dc:description/>
  <cp:lastModifiedBy>Joe Emenaker</cp:lastModifiedBy>
  <cp:lastPrinted>2004-07-24T02:35:46Z</cp:lastPrinted>
  <dcterms:created xsi:type="dcterms:W3CDTF">2004-07-24T00:45:09Z</dcterms:created>
  <dcterms:modified xsi:type="dcterms:W3CDTF">2005-01-15T11:21:51Z</dcterms:modified>
  <cp:category/>
  <cp:version/>
  <cp:contentType/>
  <cp:contentStatus/>
</cp:coreProperties>
</file>